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48630\Downloads\"/>
    </mc:Choice>
  </mc:AlternateContent>
  <xr:revisionPtr revIDLastSave="0" documentId="13_ncr:1_{A5FA23AA-48CC-4E10-B87D-6148397CAF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serção_Valores" sheetId="5" r:id="rId1"/>
    <sheet name="RV Sem grau satisfação" sheetId="1" state="hidden" r:id="rId2"/>
    <sheet name="RV Com grau satisfação" sheetId="2" r:id="rId3"/>
    <sheet name="RV nos PER" sheetId="7" r:id="rId4"/>
  </sheets>
  <definedNames>
    <definedName name="_xlnm.Print_Area" localSheetId="0">Inserção_Valores!$B$1:$E$27</definedName>
    <definedName name="_xlnm.Print_Area" localSheetId="2">'RV Com grau satisfação'!$B$1:$E$38</definedName>
    <definedName name="_xlnm.Print_Area" localSheetId="3">'RV nos PER'!$B$1:$E$40</definedName>
    <definedName name="_xlnm.Print_Area" localSheetId="1">'RV Sem grau satisfação'!$B$1:$D$35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D8" i="5"/>
  <c r="D27" i="2"/>
  <c r="D9" i="2"/>
  <c r="C2" i="7" l="1"/>
  <c r="E39" i="7" l="1"/>
  <c r="E37" i="2"/>
  <c r="H22" i="5" l="1"/>
  <c r="D17" i="7"/>
  <c r="D8" i="7"/>
  <c r="D7" i="7"/>
  <c r="I9" i="5" l="1"/>
  <c r="I10" i="5" l="1"/>
  <c r="D9" i="7"/>
  <c r="D10" i="7" l="1"/>
  <c r="D12" i="7" s="1"/>
  <c r="D13" i="7" s="1"/>
  <c r="D20" i="2"/>
  <c r="C2" i="2"/>
  <c r="D7" i="2"/>
  <c r="D10" i="2"/>
  <c r="D19" i="2" s="1"/>
  <c r="D10" i="1"/>
  <c r="D8" i="1"/>
  <c r="D7" i="1"/>
  <c r="C2" i="1"/>
  <c r="D8" i="2"/>
  <c r="D18" i="2" l="1"/>
  <c r="D11" i="2"/>
  <c r="D13" i="2" s="1"/>
  <c r="D14" i="2" s="1"/>
  <c r="D21" i="2" s="1"/>
  <c r="D22" i="2" s="1"/>
  <c r="D17" i="2"/>
  <c r="D18" i="7"/>
  <c r="D19" i="7" s="1"/>
  <c r="D20" i="7" s="1"/>
  <c r="D21" i="7" s="1"/>
  <c r="D14" i="7"/>
  <c r="D9" i="1"/>
  <c r="D11" i="1" s="1"/>
  <c r="D23" i="2" l="1"/>
  <c r="D28" i="2" s="1"/>
  <c r="D22" i="7"/>
  <c r="D23" i="7" s="1"/>
  <c r="I22" i="5" s="1"/>
  <c r="D25" i="7"/>
  <c r="D26" i="7" s="1"/>
  <c r="D27" i="7" s="1"/>
  <c r="D29" i="7"/>
  <c r="D30" i="2" l="1"/>
  <c r="D34" i="7"/>
  <c r="D35" i="7" s="1"/>
  <c r="D36" i="7" s="1"/>
  <c r="D30" i="7"/>
  <c r="D31" i="7" s="1"/>
  <c r="D33" i="2" l="1"/>
  <c r="D34" i="2" s="1"/>
  <c r="D22" i="5" s="1"/>
  <c r="D18" i="1"/>
  <c r="D19" i="1"/>
  <c r="D17" i="1"/>
  <c r="D16" i="1"/>
  <c r="D13" i="1"/>
  <c r="D20" i="1" l="1"/>
  <c r="D21" i="1" s="1"/>
  <c r="D22" i="1" l="1"/>
  <c r="D26" i="1" s="1"/>
  <c r="D28" i="1" s="1"/>
  <c r="D29" i="1" l="1"/>
  <c r="D30" i="1" s="1"/>
  <c r="D20" i="5" s="1"/>
  <c r="D2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
Despesas aprovadas na prestação de contas, deduzidas da conta de custas e da Remuneração Fixa paga pela massa insolvente (devendo incluir a provisão para despesas paga pela massa).</t>
        </r>
      </text>
    </comment>
  </commentList>
</comments>
</file>

<file path=xl/sharedStrings.xml><?xml version="1.0" encoding="utf-8"?>
<sst xmlns="http://schemas.openxmlformats.org/spreadsheetml/2006/main" count="122" uniqueCount="94">
  <si>
    <t>Receita da Liquidação</t>
  </si>
  <si>
    <t xml:space="preserve">Saldo da Liquidação </t>
  </si>
  <si>
    <t>Remuneração Variável do A.I.</t>
  </si>
  <si>
    <t>Majoração da Remuneração Variável :</t>
  </si>
  <si>
    <t>Receita da Liquidação prestação de contas</t>
  </si>
  <si>
    <t>Despesa da Liquidação - Prestação de Contas</t>
  </si>
  <si>
    <t>Remuneração fixa adiantada pela Massa Insolvente</t>
  </si>
  <si>
    <t>Conta de custas</t>
  </si>
  <si>
    <t>Remuneração Variável</t>
  </si>
  <si>
    <t>Iva s/ Remuneração Variável</t>
  </si>
  <si>
    <t xml:space="preserve">Valor Global da Remuneração Variável </t>
  </si>
  <si>
    <t>IVA</t>
  </si>
  <si>
    <t xml:space="preserve">Majoração da Remuneração Variável </t>
  </si>
  <si>
    <t>Créditos reconhecidos na Reclamação de Créditos</t>
  </si>
  <si>
    <t>Grau de créditos satisfeitos</t>
  </si>
  <si>
    <t xml:space="preserve">Conta de Custas </t>
  </si>
  <si>
    <t>Processo:</t>
  </si>
  <si>
    <t>Créditos satisfeitos: Receita da Massa - Custas - remuneração fixa e remuneração variável c/ IVA</t>
  </si>
  <si>
    <t>Base de cálculo da Majoração da Remuneração Variável</t>
  </si>
  <si>
    <t>Conta de Custas</t>
  </si>
  <si>
    <t>Remuneração fixa incluída na Conta de Custas</t>
  </si>
  <si>
    <t>Remuneração fixa incluída na Conta de Custas (com IVA)</t>
  </si>
  <si>
    <t>Total a receber:</t>
  </si>
  <si>
    <t>Despesas da Liquidação - Prestação de Contas</t>
  </si>
  <si>
    <t>Total das Receitas da Liquidação</t>
  </si>
  <si>
    <t>Diferença entre as duas fórmulas de cálculo</t>
  </si>
  <si>
    <t>Total da RV considerando o grau de satisfação dos créditos</t>
  </si>
  <si>
    <t>Total da RV sem considerar o grau de satisfação dos créditos</t>
  </si>
  <si>
    <t>Total dos créditos subordinados</t>
  </si>
  <si>
    <t>Total dos créditos satisfeitos no Plano</t>
  </si>
  <si>
    <t>Valor destinado à satisfação dos créditos reclamados e admitidos</t>
  </si>
  <si>
    <t>Total da Remuneração Variável</t>
  </si>
  <si>
    <t>IVA de 50% do Total da remuneração</t>
  </si>
  <si>
    <r>
      <t xml:space="preserve">50% do Total da Remuneração </t>
    </r>
    <r>
      <rPr>
        <sz val="9"/>
        <rFont val="Calibri"/>
        <family val="2"/>
        <scheme val="minor"/>
      </rPr>
      <t xml:space="preserve"> (artº 29º, nº 3, do EAJ - 1ª parte)</t>
    </r>
  </si>
  <si>
    <r>
      <t>50% do Total da Remuneração</t>
    </r>
    <r>
      <rPr>
        <sz val="9"/>
        <rFont val="Calibri"/>
        <family val="2"/>
        <scheme val="minor"/>
      </rPr>
      <t xml:space="preserve">  (artº 29º, nº 3, do EAJ - 2ª parte)</t>
    </r>
  </si>
  <si>
    <t xml:space="preserve">Remuneração Variável </t>
  </si>
  <si>
    <t>IVA s/ a Remuneração Variável</t>
  </si>
  <si>
    <t>Remuneração Variável:</t>
  </si>
  <si>
    <t>= [1] - [2] - [3]</t>
  </si>
  <si>
    <t>= [4] x 10%</t>
  </si>
  <si>
    <t>= [5] x 23%</t>
  </si>
  <si>
    <t>= [3] - [5] - [6]</t>
  </si>
  <si>
    <t>= [8] / [1]</t>
  </si>
  <si>
    <t>= [5] + [10]</t>
  </si>
  <si>
    <t>Majoração da Remuneração Variável, caso o plano preveja que</t>
  </si>
  <si>
    <t>parte dos créditos sejam satisfeitos por via de liquidação de bens:</t>
  </si>
  <si>
    <t>IVA da Remuneração Variável</t>
  </si>
  <si>
    <t>= [5] + [6]</t>
  </si>
  <si>
    <t>= [8] x [9] x 5%</t>
  </si>
  <si>
    <t>= [11] x 23%</t>
  </si>
  <si>
    <t>= [11] + [12]</t>
  </si>
  <si>
    <t>= [11] / 2</t>
  </si>
  <si>
    <t>= [14] + [15]</t>
  </si>
  <si>
    <t>= [17] x 23%</t>
  </si>
  <si>
    <t>= [17] + [18]</t>
  </si>
  <si>
    <t>= [17] / 5</t>
  </si>
  <si>
    <t>= [20] x 23%</t>
  </si>
  <si>
    <t>= [20] + [21]</t>
  </si>
  <si>
    <t xml:space="preserve">= [1] - [2] - [3] + [4] </t>
  </si>
  <si>
    <t>= [5] x 5%</t>
  </si>
  <si>
    <t xml:space="preserve">= [1] </t>
  </si>
  <si>
    <t xml:space="preserve">= [2] </t>
  </si>
  <si>
    <t xml:space="preserve">= [3] </t>
  </si>
  <si>
    <t>Valor dos créditos perdoados (Recuperação)</t>
  </si>
  <si>
    <t>Grau dos créditos satisfeitos</t>
  </si>
  <si>
    <r>
      <t>Remuneração Variável do A.I.</t>
    </r>
    <r>
      <rPr>
        <sz val="9"/>
        <color theme="1"/>
        <rFont val="Calibri"/>
        <family val="2"/>
        <scheme val="minor"/>
      </rPr>
      <t xml:space="preserve"> (Artº 23º, nº 4, al. a) do EAJ)</t>
    </r>
    <r>
      <rPr>
        <sz val="11"/>
        <color theme="1"/>
        <rFont val="Calibri"/>
        <family val="2"/>
        <scheme val="minor"/>
      </rPr>
      <t xml:space="preserve"> </t>
    </r>
  </si>
  <si>
    <t>1ª Prestação - A pagar com a aprovação do plano</t>
  </si>
  <si>
    <t>2ª Prestação - A pagar dois anos após a aprovação plano</t>
  </si>
  <si>
    <t>Valor a pagar na 2ª prestação no caso de incumprimento do plano</t>
  </si>
  <si>
    <r>
      <t xml:space="preserve">1/5 da 2ª prestação </t>
    </r>
    <r>
      <rPr>
        <sz val="9"/>
        <color theme="1"/>
        <rFont val="Calibri"/>
        <family val="2"/>
        <scheme val="minor"/>
      </rPr>
      <t>(Artº 29º, nº 4, do EAJ)</t>
    </r>
  </si>
  <si>
    <t>IVA de 1/5 da 2ª prestação</t>
  </si>
  <si>
    <t>No caso de incumprimento do plano aprovado</t>
  </si>
  <si>
    <r>
      <rPr>
        <sz val="11"/>
        <rFont val="Calibri"/>
        <family val="2"/>
        <scheme val="minor"/>
      </rPr>
      <t xml:space="preserve">Majoração da remuneração variável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(Artº 23º, nº 7, do EAJ) </t>
    </r>
  </si>
  <si>
    <t>xxxx/xx.xT8STS</t>
  </si>
  <si>
    <r>
      <t xml:space="preserve">por via de liquidação de bens?            </t>
    </r>
    <r>
      <rPr>
        <sz val="9"/>
        <rFont val="Arial"/>
        <family val="2"/>
      </rPr>
      <t>(SIM = Marcado)</t>
    </r>
  </si>
  <si>
    <t>O plano prevê que parte dos créditos sejam satisfeitos</t>
  </si>
  <si>
    <t>= [14] x 23%</t>
  </si>
  <si>
    <t>Saldo da Liquidação - artº 23º, nº 6, EAJ</t>
  </si>
  <si>
    <t>Remuneração Variável - artº 23º, nº 4, b) EAJ</t>
  </si>
  <si>
    <t>Remuneração Variável - Limite artº 23º, nº 10, EAJ</t>
  </si>
  <si>
    <t>Cálculo da Remuneração Variável do A.I. - art.º 23º, nº 4, b), EAJ</t>
  </si>
  <si>
    <t>Majoração da Remuneração Variável do A.I. - art.º 23º, nº 7, EAJ</t>
  </si>
  <si>
    <t xml:space="preserve">= [7] </t>
  </si>
  <si>
    <t xml:space="preserve">= [12] x 23% </t>
  </si>
  <si>
    <t>= [8] - [9] - [10 ] - [11] - [12] - [13]</t>
  </si>
  <si>
    <t>Iva Remuneração Variável - artº 23º, nº 4, b) EAJ</t>
  </si>
  <si>
    <t>= [14] / [15]</t>
  </si>
  <si>
    <t>= [14] x [16] x 5%</t>
  </si>
  <si>
    <t xml:space="preserve">= [7] + [17] </t>
  </si>
  <si>
    <t xml:space="preserve">= [18] x 23% </t>
  </si>
  <si>
    <t xml:space="preserve">= [18] + [19] </t>
  </si>
  <si>
    <t>2.3</t>
  </si>
  <si>
    <t>Cálculo da remuneração variável nos P.E.R.</t>
  </si>
  <si>
    <t>Cálculo da remuneração variável nos processos de insolvência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</si>
</sst>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Arial"/>
      <family val="2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0" xfId="0" applyFont="1" applyFill="1" applyAlignment="1">
      <alignment vertical="center" wrapText="1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0" xfId="0" applyFont="1" applyFill="1" applyBorder="1" applyAlignment="1">
      <alignment vertical="center" wrapText="1" shrinkToFit="1"/>
    </xf>
    <xf numFmtId="164" fontId="8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164" fontId="7" fillId="4" borderId="13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164" fontId="7" fillId="4" borderId="15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0" xfId="1" applyFont="1" applyAlignment="1">
      <alignment horizontal="center" vertical="center" wrapText="1"/>
    </xf>
    <xf numFmtId="164" fontId="0" fillId="6" borderId="0" xfId="0" applyNumberFormat="1" applyFill="1" applyAlignment="1">
      <alignment vertical="center"/>
    </xf>
    <xf numFmtId="0" fontId="15" fillId="0" borderId="0" xfId="0" applyFont="1" applyAlignment="1">
      <alignment vertical="center"/>
    </xf>
    <xf numFmtId="0" fontId="8" fillId="0" borderId="18" xfId="0" applyFont="1" applyFill="1" applyBorder="1" applyAlignment="1">
      <alignment vertical="center" wrapText="1" shrinkToFit="1"/>
    </xf>
    <xf numFmtId="164" fontId="7" fillId="4" borderId="19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164" fontId="7" fillId="4" borderId="21" xfId="0" applyNumberFormat="1" applyFont="1" applyFill="1" applyBorder="1" applyAlignment="1" applyProtection="1">
      <alignment vertical="center"/>
      <protection locked="0"/>
    </xf>
    <xf numFmtId="164" fontId="7" fillId="4" borderId="22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vertical="center"/>
    </xf>
    <xf numFmtId="164" fontId="7" fillId="0" borderId="21" xfId="0" applyNumberFormat="1" applyFont="1" applyFill="1" applyBorder="1" applyAlignment="1" applyProtection="1">
      <alignment vertical="center"/>
    </xf>
    <xf numFmtId="164" fontId="8" fillId="0" borderId="25" xfId="0" applyNumberFormat="1" applyFont="1" applyFill="1" applyBorder="1" applyAlignment="1" applyProtection="1">
      <alignment vertical="center"/>
      <protection locked="0"/>
    </xf>
    <xf numFmtId="0" fontId="13" fillId="5" borderId="0" xfId="1" applyFont="1" applyFill="1" applyAlignment="1">
      <alignment vertical="center"/>
    </xf>
    <xf numFmtId="0" fontId="20" fillId="0" borderId="0" xfId="0" applyFont="1" applyFill="1" applyAlignment="1">
      <alignment vertical="center" wrapText="1" shrinkToFit="1"/>
    </xf>
    <xf numFmtId="16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 wrapText="1" shrinkToFit="1"/>
    </xf>
    <xf numFmtId="164" fontId="20" fillId="0" borderId="0" xfId="0" applyNumberFormat="1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16" fillId="0" borderId="26" xfId="0" applyFont="1" applyFill="1" applyBorder="1" applyAlignment="1">
      <alignment horizontal="left" vertical="center" wrapText="1" shrinkToFit="1"/>
    </xf>
    <xf numFmtId="164" fontId="16" fillId="0" borderId="26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 shrinkToFit="1"/>
    </xf>
    <xf numFmtId="164" fontId="16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6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9" fontId="16" fillId="0" borderId="26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/>
    <xf numFmtId="164" fontId="22" fillId="0" borderId="0" xfId="0" applyNumberFormat="1" applyFont="1" applyAlignment="1">
      <alignment horizontal="center" vertical="center"/>
    </xf>
    <xf numFmtId="0" fontId="23" fillId="0" borderId="24" xfId="0" applyFont="1" applyFill="1" applyBorder="1" applyAlignment="1">
      <alignment vertical="center" wrapText="1" shrinkToFit="1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5" fillId="0" borderId="0" xfId="0" quotePrefix="1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7" borderId="0" xfId="1" applyFont="1" applyFill="1" applyAlignment="1">
      <alignment horizontal="center" vertical="center"/>
    </xf>
    <xf numFmtId="0" fontId="24" fillId="0" borderId="6" xfId="0" applyFont="1" applyBorder="1" applyAlignment="1" applyProtection="1">
      <alignment vertical="center"/>
      <protection locked="0" hidden="1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/>
    <xf numFmtId="0" fontId="10" fillId="0" borderId="9" xfId="0" applyFont="1" applyBorder="1" applyAlignment="1" applyProtection="1">
      <alignment horizontal="center" vertical="center"/>
      <protection hidden="1"/>
    </xf>
    <xf numFmtId="0" fontId="14" fillId="0" borderId="0" xfId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1" fillId="0" borderId="0" xfId="1" applyFont="1" applyAlignment="1">
      <alignment horizontal="center" vertical="center" wrapText="1"/>
    </xf>
    <xf numFmtId="0" fontId="27" fillId="4" borderId="0" xfId="0" applyFont="1" applyFill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4" fontId="30" fillId="6" borderId="0" xfId="0" applyNumberFormat="1" applyFont="1" applyFill="1" applyAlignment="1">
      <alignment vertical="center"/>
    </xf>
    <xf numFmtId="164" fontId="30" fillId="0" borderId="0" xfId="0" applyNumberFormat="1" applyFont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164" fontId="6" fillId="6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0" fontId="30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justify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J12" lockText="1" noThreeD="1"/>
</file>

<file path=xl/ctrlProps/ctrlProp2.xml><?xml version="1.0" encoding="utf-8"?>
<formControlPr xmlns="http://schemas.microsoft.com/office/spreadsheetml/2009/9/main" objectType="CheckBox" checked="Checked" fmlaLink="Inserção_Valores!$J$12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ser&#231;&#227;o_Valore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ser&#231;&#227;o_Valore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428625</xdr:colOff>
          <xdr:row>10</xdr:row>
          <xdr:rowOff>200025</xdr:rowOff>
        </xdr:from>
        <xdr:to>
          <xdr:col>8</xdr:col>
          <xdr:colOff>628650</xdr:colOff>
          <xdr:row>12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8</xdr:col>
      <xdr:colOff>76200</xdr:colOff>
      <xdr:row>5</xdr:row>
      <xdr:rowOff>47625</xdr:rowOff>
    </xdr:to>
    <xdr:sp macro="" textlink="">
      <xdr:nvSpPr>
        <xdr:cNvPr id="2" name="Fluxograma: processo alternativ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A083D-4D3D-43C6-82EB-1445CDB7118C}"/>
            </a:ext>
          </a:extLst>
        </xdr:cNvPr>
        <xdr:cNvSpPr/>
      </xdr:nvSpPr>
      <xdr:spPr>
        <a:xfrm>
          <a:off x="7705725" y="190500"/>
          <a:ext cx="1295400" cy="885825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Voltar ao </a:t>
          </a:r>
          <a:r>
            <a:rPr lang="pt-PT" sz="1200" b="1" i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15</xdr:row>
          <xdr:rowOff>123825</xdr:rowOff>
        </xdr:from>
        <xdr:to>
          <xdr:col>6</xdr:col>
          <xdr:colOff>409575</xdr:colOff>
          <xdr:row>17</xdr:row>
          <xdr:rowOff>95250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1</xdr:row>
      <xdr:rowOff>0</xdr:rowOff>
    </xdr:from>
    <xdr:to>
      <xdr:col>8</xdr:col>
      <xdr:colOff>76200</xdr:colOff>
      <xdr:row>5</xdr:row>
      <xdr:rowOff>47625</xdr:rowOff>
    </xdr:to>
    <xdr:sp macro="" textlink="">
      <xdr:nvSpPr>
        <xdr:cNvPr id="3" name="Fluxograma: processo alternativ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2D02C-3B5B-424B-A491-57DEF7B5D915}"/>
            </a:ext>
          </a:extLst>
        </xdr:cNvPr>
        <xdr:cNvSpPr/>
      </xdr:nvSpPr>
      <xdr:spPr>
        <a:xfrm>
          <a:off x="7696200" y="190500"/>
          <a:ext cx="1295400" cy="885825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Voltar ao </a:t>
          </a:r>
          <a:r>
            <a:rPr lang="pt-PT" sz="1200" b="1" i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Menu principal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J26"/>
  <sheetViews>
    <sheetView showGridLines="0" showRowColHeaders="0" tabSelected="1" workbookViewId="0">
      <selection activeCell="K17" sqref="K17"/>
    </sheetView>
  </sheetViews>
  <sheetFormatPr defaultRowHeight="15" x14ac:dyDescent="0.25"/>
  <cols>
    <col min="2" max="2" width="10.140625" bestFit="1" customWidth="1"/>
    <col min="3" max="3" width="54.28515625" customWidth="1"/>
    <col min="4" max="4" width="16.7109375" customWidth="1"/>
    <col min="5" max="5" width="10.140625" customWidth="1"/>
    <col min="7" max="7" width="10.140625" customWidth="1"/>
    <col min="8" max="8" width="55.28515625" customWidth="1"/>
    <col min="9" max="9" width="16.7109375" customWidth="1"/>
    <col min="10" max="10" width="10.28515625" customWidth="1"/>
    <col min="11" max="11" width="10.85546875" bestFit="1" customWidth="1"/>
  </cols>
  <sheetData>
    <row r="2" spans="2:10" ht="21" customHeight="1" x14ac:dyDescent="0.25">
      <c r="B2" s="11" t="s">
        <v>16</v>
      </c>
      <c r="C2" s="82" t="s">
        <v>73</v>
      </c>
    </row>
    <row r="3" spans="2:10" ht="21" customHeight="1" x14ac:dyDescent="0.25"/>
    <row r="4" spans="2:10" ht="21" customHeight="1" x14ac:dyDescent="0.25">
      <c r="C4" s="79" t="s">
        <v>93</v>
      </c>
      <c r="D4" s="79"/>
      <c r="H4" s="79" t="s">
        <v>92</v>
      </c>
      <c r="I4" s="79"/>
    </row>
    <row r="5" spans="2:10" ht="21" customHeight="1" thickBot="1" x14ac:dyDescent="0.3">
      <c r="C5" s="2"/>
    </row>
    <row r="6" spans="2:10" ht="21" customHeight="1" thickTop="1" thickBot="1" x14ac:dyDescent="0.3">
      <c r="B6" s="17"/>
      <c r="C6" s="18"/>
      <c r="D6" s="18"/>
      <c r="E6" s="19"/>
      <c r="G6" s="17"/>
      <c r="H6" s="18"/>
      <c r="I6" s="18"/>
      <c r="J6" s="19"/>
    </row>
    <row r="7" spans="2:10" ht="21" customHeight="1" thickTop="1" x14ac:dyDescent="0.25">
      <c r="B7" s="20"/>
      <c r="C7" s="27" t="s">
        <v>24</v>
      </c>
      <c r="D7" s="28">
        <v>3375207.51</v>
      </c>
      <c r="E7" s="21"/>
      <c r="G7" s="20"/>
      <c r="H7" s="38" t="s">
        <v>13</v>
      </c>
      <c r="I7" s="39">
        <v>4168889.28</v>
      </c>
      <c r="J7" s="21"/>
    </row>
    <row r="8" spans="2:10" ht="21" customHeight="1" x14ac:dyDescent="0.25">
      <c r="B8" s="20"/>
      <c r="C8" s="31" t="s">
        <v>23</v>
      </c>
      <c r="D8" s="32">
        <f>D7*10%</f>
        <v>337520.75099999999</v>
      </c>
      <c r="E8" s="21"/>
      <c r="G8" s="20"/>
      <c r="H8" s="40" t="s">
        <v>28</v>
      </c>
      <c r="I8" s="41">
        <v>0</v>
      </c>
      <c r="J8" s="21"/>
    </row>
    <row r="9" spans="2:10" ht="21" customHeight="1" x14ac:dyDescent="0.25">
      <c r="B9" s="20"/>
      <c r="C9" s="29" t="s">
        <v>15</v>
      </c>
      <c r="D9" s="30">
        <v>7000</v>
      </c>
      <c r="E9" s="21"/>
      <c r="G9" s="20"/>
      <c r="H9" s="40" t="s">
        <v>29</v>
      </c>
      <c r="I9" s="42">
        <f>4168889.28-913322.88</f>
        <v>3255566.4</v>
      </c>
      <c r="J9" s="21"/>
    </row>
    <row r="10" spans="2:10" ht="21" customHeight="1" x14ac:dyDescent="0.25">
      <c r="B10" s="20"/>
      <c r="C10" s="31" t="s">
        <v>21</v>
      </c>
      <c r="D10" s="32">
        <v>0</v>
      </c>
      <c r="E10" s="21"/>
      <c r="G10" s="20"/>
      <c r="H10" s="43" t="s">
        <v>63</v>
      </c>
      <c r="I10" s="44">
        <f>I7-I8-I9</f>
        <v>913322.87999999989</v>
      </c>
      <c r="J10" s="21"/>
    </row>
    <row r="11" spans="2:10" ht="21" customHeight="1" x14ac:dyDescent="0.25">
      <c r="B11" s="20"/>
      <c r="C11" s="33"/>
      <c r="D11" s="34"/>
      <c r="E11" s="21"/>
      <c r="G11" s="20"/>
      <c r="H11" s="69" t="s">
        <v>75</v>
      </c>
      <c r="I11" s="70"/>
      <c r="J11" s="21"/>
    </row>
    <row r="12" spans="2:10" ht="21" customHeight="1" thickBot="1" x14ac:dyDescent="0.3">
      <c r="B12" s="20"/>
      <c r="C12" s="25" t="s">
        <v>13</v>
      </c>
      <c r="D12" s="26">
        <v>56543068.039999999</v>
      </c>
      <c r="E12" s="21"/>
      <c r="G12" s="20"/>
      <c r="H12" s="68" t="s">
        <v>74</v>
      </c>
      <c r="I12" s="45"/>
      <c r="J12" s="74" t="b">
        <v>1</v>
      </c>
    </row>
    <row r="13" spans="2:10" ht="21" customHeight="1" thickTop="1" thickBot="1" x14ac:dyDescent="0.3">
      <c r="B13" s="22"/>
      <c r="C13" s="23"/>
      <c r="D13" s="23"/>
      <c r="E13" s="24"/>
      <c r="G13" s="22"/>
      <c r="H13" s="23"/>
      <c r="I13" s="23"/>
      <c r="J13" s="78" t="s">
        <v>91</v>
      </c>
    </row>
    <row r="14" spans="2:10" ht="21" customHeight="1" thickTop="1" x14ac:dyDescent="0.25">
      <c r="C14" s="6"/>
      <c r="D14" s="6"/>
      <c r="E14" s="6"/>
    </row>
    <row r="15" spans="2:10" ht="21" customHeight="1" x14ac:dyDescent="0.25">
      <c r="C15" s="6"/>
      <c r="D15" s="6"/>
      <c r="E15" s="6"/>
      <c r="G15" s="6"/>
    </row>
    <row r="16" spans="2:10" ht="21" customHeight="1" x14ac:dyDescent="0.25">
      <c r="C16" s="6"/>
      <c r="D16" s="6"/>
      <c r="E16" s="6"/>
    </row>
    <row r="17" spans="3:10" ht="21" customHeight="1" x14ac:dyDescent="0.25">
      <c r="C17" s="6"/>
      <c r="D17" s="6"/>
      <c r="E17" s="6"/>
      <c r="I17" s="6"/>
      <c r="J17" s="6"/>
    </row>
    <row r="18" spans="3:10" ht="21" customHeight="1" x14ac:dyDescent="0.25">
      <c r="C18" s="6"/>
      <c r="D18" s="6"/>
      <c r="E18" s="6"/>
    </row>
    <row r="19" spans="3:10" ht="21" customHeight="1" x14ac:dyDescent="0.25">
      <c r="C19" s="6"/>
      <c r="D19" s="6"/>
      <c r="E19" s="6"/>
    </row>
    <row r="20" spans="3:10" ht="21" hidden="1" customHeight="1" x14ac:dyDescent="0.25">
      <c r="C20" s="10" t="s">
        <v>27</v>
      </c>
      <c r="D20" s="7">
        <f>'RV Sem grau satisfação'!D30</f>
        <v>361160.36636277218</v>
      </c>
      <c r="E20" s="6"/>
    </row>
    <row r="21" spans="3:10" ht="15.75" x14ac:dyDescent="0.25">
      <c r="C21" s="5"/>
      <c r="D21" s="6"/>
      <c r="E21" s="6"/>
    </row>
    <row r="22" spans="3:10" ht="21" customHeight="1" x14ac:dyDescent="0.25">
      <c r="C22" s="46" t="s">
        <v>26</v>
      </c>
      <c r="D22" s="7">
        <f>'RV Com grau satisfação'!D34</f>
        <v>132180.27767236085</v>
      </c>
      <c r="E22" s="6"/>
      <c r="H22" s="73" t="str">
        <f>IF(J12=FALSE,"Total da RV sem majoração, porque a ela não há lugar","Total da RV com majoração")</f>
        <v>Total da RV com majoração</v>
      </c>
      <c r="I22" s="7">
        <f>'RV nos PER'!D23</f>
        <v>258088.00060590755</v>
      </c>
    </row>
    <row r="23" spans="3:10" ht="15.75" x14ac:dyDescent="0.25">
      <c r="C23" s="5"/>
      <c r="D23" s="6"/>
      <c r="E23" s="6"/>
    </row>
    <row r="24" spans="3:10" ht="21" hidden="1" customHeight="1" x14ac:dyDescent="0.25">
      <c r="C24" s="9" t="s">
        <v>25</v>
      </c>
      <c r="D24" s="8">
        <f>D20-D22</f>
        <v>228980.08869041133</v>
      </c>
      <c r="E24" s="6"/>
    </row>
    <row r="25" spans="3:10" x14ac:dyDescent="0.25">
      <c r="C25" s="6"/>
      <c r="D25" s="6"/>
      <c r="E25" s="6"/>
    </row>
    <row r="26" spans="3:10" x14ac:dyDescent="0.25">
      <c r="C26" s="6"/>
      <c r="D26" s="6"/>
      <c r="E26" s="6"/>
    </row>
  </sheetData>
  <sheetProtection algorithmName="SHA-512" hashValue="VO7A6y4t7m95d56WWCCMfEp9wdBsCAOPz9nMwORUQIqiV1Dt64Kmk5Iisx6ocvePCHXHutYigoDpNUGWs02DeA==" saltValue="nxeEdFjbhGMeSJSuKuxO7w==" spinCount="100000" sheet="1" objects="1" scenarios="1"/>
  <mergeCells count="2">
    <mergeCell ref="C4:D4"/>
    <mergeCell ref="H4:I4"/>
  </mergeCells>
  <hyperlinks>
    <hyperlink ref="C20" location="'RV Sem grau satisfação'!Área_de_Impressão" display="Total a receber sem o grau de satisfação dos créditos" xr:uid="{00000000-0004-0000-0000-000000000000}"/>
    <hyperlink ref="C22" location="'RV com grau satisfação'!Área_de_Impressão" display="Total a receber com o grau de satisfação dos créditos" xr:uid="{00000000-0004-0000-0000-000001000000}"/>
    <hyperlink ref="H22" location="'RV nos PER'!A1" display="Total da RV considerando o grau de satisfação dos créditos" xr:uid="{00000000-0004-0000-0000-000002000000}"/>
    <hyperlink ref="H4:I4" location="'RV nos PER'!A1" display="Calculo da remuneração variável nos P.E.R." xr:uid="{00000000-0004-0000-0000-000003000000}"/>
    <hyperlink ref="C4:D4" location="'RV Com grau satisfação'!A1" display="Calculo da remuneração variável nos processos de insolvência" xr:uid="{00000000-0004-0000-0000-000004000000}"/>
  </hyperlinks>
  <pageMargins left="0.9055118110236221" right="0.31496062992125984" top="1.7322834645669292" bottom="0.74803149606299213" header="0.31496062992125984" footer="0.31496062992125984"/>
  <pageSetup paperSize="9" scale="9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 sizeWithCells="1">
                  <from>
                    <xdr:col>8</xdr:col>
                    <xdr:colOff>428625</xdr:colOff>
                    <xdr:row>10</xdr:row>
                    <xdr:rowOff>200025</xdr:rowOff>
                  </from>
                  <to>
                    <xdr:col>8</xdr:col>
                    <xdr:colOff>628650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E56"/>
  <sheetViews>
    <sheetView workbookViewId="0">
      <selection activeCell="M31" sqref="M31"/>
    </sheetView>
  </sheetViews>
  <sheetFormatPr defaultRowHeight="15" x14ac:dyDescent="0.25"/>
  <cols>
    <col min="2" max="2" width="10.140625" bestFit="1" customWidth="1"/>
    <col min="3" max="3" width="49.5703125" customWidth="1"/>
    <col min="4" max="4" width="14.7109375" customWidth="1"/>
    <col min="5" max="5" width="26.7109375" customWidth="1"/>
    <col min="6" max="6" width="11.42578125" customWidth="1"/>
  </cols>
  <sheetData>
    <row r="2" spans="1:5" ht="16.5" customHeight="1" x14ac:dyDescent="0.25">
      <c r="A2" s="6"/>
      <c r="B2" s="11" t="s">
        <v>16</v>
      </c>
      <c r="C2" s="35" t="str">
        <f>Inserção_Valores!C2</f>
        <v>xxxx/xx.xT8STS</v>
      </c>
      <c r="D2" s="6"/>
    </row>
    <row r="3" spans="1:5" ht="16.5" customHeight="1" x14ac:dyDescent="0.25">
      <c r="A3" s="6"/>
      <c r="B3" s="6"/>
      <c r="C3" s="6"/>
      <c r="D3" s="6"/>
    </row>
    <row r="4" spans="1:5" ht="16.5" customHeight="1" x14ac:dyDescent="0.25">
      <c r="A4" s="6"/>
      <c r="B4" s="6"/>
      <c r="C4" s="6"/>
      <c r="D4" s="6"/>
    </row>
    <row r="5" spans="1:5" ht="16.5" customHeight="1" x14ac:dyDescent="0.25">
      <c r="A5" s="6"/>
      <c r="B5" s="6"/>
      <c r="C5" s="12"/>
      <c r="D5" s="6"/>
    </row>
    <row r="6" spans="1:5" ht="16.5" customHeight="1" x14ac:dyDescent="0.25">
      <c r="A6" s="6"/>
      <c r="B6" s="6"/>
      <c r="C6" s="6"/>
      <c r="D6" s="6"/>
    </row>
    <row r="7" spans="1:5" ht="16.5" customHeight="1" x14ac:dyDescent="0.25">
      <c r="A7" s="6"/>
      <c r="B7" s="6">
        <v>1</v>
      </c>
      <c r="C7" s="6" t="s">
        <v>0</v>
      </c>
      <c r="D7" s="36">
        <f>Inserção_Valores!D7</f>
        <v>3375207.51</v>
      </c>
    </row>
    <row r="8" spans="1:5" ht="16.5" customHeight="1" x14ac:dyDescent="0.25">
      <c r="A8" s="6"/>
      <c r="B8" s="6">
        <v>2</v>
      </c>
      <c r="C8" s="6" t="s">
        <v>23</v>
      </c>
      <c r="D8" s="36">
        <f>Inserção_Valores!D8</f>
        <v>337520.75099999999</v>
      </c>
    </row>
    <row r="9" spans="1:5" ht="16.5" customHeight="1" x14ac:dyDescent="0.25">
      <c r="A9" s="6"/>
      <c r="B9" s="6">
        <v>3</v>
      </c>
      <c r="C9" s="6" t="s">
        <v>19</v>
      </c>
      <c r="D9" s="36">
        <f>Inserção_Valores!D9</f>
        <v>7000</v>
      </c>
    </row>
    <row r="10" spans="1:5" ht="16.5" customHeight="1" x14ac:dyDescent="0.25">
      <c r="A10" s="6"/>
      <c r="B10" s="6">
        <v>4</v>
      </c>
      <c r="C10" s="6" t="s">
        <v>20</v>
      </c>
      <c r="D10" s="36">
        <f>Inserção_Valores!D10</f>
        <v>0</v>
      </c>
    </row>
    <row r="11" spans="1:5" ht="16.5" customHeight="1" x14ac:dyDescent="0.25">
      <c r="A11" s="6"/>
      <c r="B11" s="6">
        <v>5</v>
      </c>
      <c r="C11" s="6" t="s">
        <v>1</v>
      </c>
      <c r="D11" s="8">
        <f>D7-D8-D9+D10</f>
        <v>3030686.7589999996</v>
      </c>
    </row>
    <row r="12" spans="1:5" ht="16.5" customHeight="1" x14ac:dyDescent="0.25">
      <c r="A12" s="6"/>
      <c r="B12" s="6"/>
      <c r="C12" s="6"/>
      <c r="D12" s="8"/>
      <c r="E12" s="1"/>
    </row>
    <row r="13" spans="1:5" ht="16.5" customHeight="1" x14ac:dyDescent="0.25">
      <c r="A13" s="6"/>
      <c r="B13" s="6">
        <v>7</v>
      </c>
      <c r="C13" s="6" t="s">
        <v>2</v>
      </c>
      <c r="D13" s="8">
        <f>D11*5%</f>
        <v>151534.33794999999</v>
      </c>
      <c r="E13" s="1"/>
    </row>
    <row r="14" spans="1:5" ht="16.5" customHeight="1" x14ac:dyDescent="0.25">
      <c r="A14" s="6"/>
      <c r="B14" s="6"/>
      <c r="C14" s="6"/>
      <c r="D14" s="8"/>
    </row>
    <row r="15" spans="1:5" ht="16.5" customHeight="1" x14ac:dyDescent="0.25">
      <c r="A15" s="6"/>
      <c r="B15" s="6">
        <v>9</v>
      </c>
      <c r="C15" s="13" t="s">
        <v>3</v>
      </c>
      <c r="D15" s="8"/>
    </row>
    <row r="16" spans="1:5" ht="16.5" customHeight="1" x14ac:dyDescent="0.25">
      <c r="A16" s="6"/>
      <c r="B16" s="6">
        <v>10</v>
      </c>
      <c r="C16" s="6" t="s">
        <v>4</v>
      </c>
      <c r="D16" s="8">
        <f>D7</f>
        <v>3375207.51</v>
      </c>
    </row>
    <row r="17" spans="1:5" ht="16.5" customHeight="1" x14ac:dyDescent="0.25">
      <c r="A17" s="6"/>
      <c r="B17" s="6">
        <v>11</v>
      </c>
      <c r="C17" s="6" t="s">
        <v>5</v>
      </c>
      <c r="D17" s="8">
        <f>D8</f>
        <v>337520.75099999999</v>
      </c>
    </row>
    <row r="18" spans="1:5" ht="16.5" customHeight="1" x14ac:dyDescent="0.25">
      <c r="A18" s="6"/>
      <c r="B18" s="6">
        <v>12</v>
      </c>
      <c r="C18" s="6" t="s">
        <v>6</v>
      </c>
      <c r="D18" s="14">
        <f>IF(D10=2460,0,IF(D10=1230,1230,IF(D10=0,2460)))</f>
        <v>2460</v>
      </c>
    </row>
    <row r="19" spans="1:5" ht="16.5" customHeight="1" x14ac:dyDescent="0.25">
      <c r="A19" s="6"/>
      <c r="B19" s="6">
        <v>13</v>
      </c>
      <c r="C19" s="6" t="s">
        <v>7</v>
      </c>
      <c r="D19" s="8">
        <f>D9</f>
        <v>7000</v>
      </c>
    </row>
    <row r="20" spans="1:5" ht="16.5" customHeight="1" x14ac:dyDescent="0.25">
      <c r="A20" s="6"/>
      <c r="B20" s="6">
        <v>14</v>
      </c>
      <c r="C20" s="6" t="s">
        <v>8</v>
      </c>
      <c r="D20" s="14">
        <f>D13</f>
        <v>151534.33794999999</v>
      </c>
      <c r="E20" s="1"/>
    </row>
    <row r="21" spans="1:5" ht="16.5" customHeight="1" x14ac:dyDescent="0.25">
      <c r="A21" s="6"/>
      <c r="B21" s="6">
        <v>15</v>
      </c>
      <c r="C21" s="6" t="s">
        <v>9</v>
      </c>
      <c r="D21" s="14">
        <f>D20*0.23</f>
        <v>34852.8977285</v>
      </c>
    </row>
    <row r="22" spans="1:5" ht="16.5" customHeight="1" x14ac:dyDescent="0.25">
      <c r="A22" s="6"/>
      <c r="B22" s="6">
        <v>16</v>
      </c>
      <c r="C22" s="6" t="s">
        <v>18</v>
      </c>
      <c r="D22" s="8">
        <f>D16-D17-D18-D19-D20-D21</f>
        <v>2841839.5233214996</v>
      </c>
    </row>
    <row r="23" spans="1:5" ht="16.5" customHeight="1" x14ac:dyDescent="0.25">
      <c r="A23" s="6"/>
      <c r="B23" s="6"/>
      <c r="C23" s="80" t="s">
        <v>17</v>
      </c>
      <c r="D23" s="8"/>
    </row>
    <row r="24" spans="1:5" ht="16.5" customHeight="1" x14ac:dyDescent="0.25">
      <c r="A24" s="6"/>
      <c r="B24" s="6"/>
      <c r="C24" s="80"/>
      <c r="D24" s="6"/>
    </row>
    <row r="25" spans="1:5" ht="16.5" customHeight="1" x14ac:dyDescent="0.25">
      <c r="A25" s="6"/>
      <c r="B25" s="6"/>
      <c r="C25" s="6"/>
      <c r="D25" s="6"/>
    </row>
    <row r="26" spans="1:5" ht="16.5" customHeight="1" x14ac:dyDescent="0.25">
      <c r="A26" s="6"/>
      <c r="B26" s="6">
        <v>20</v>
      </c>
      <c r="C26" s="6" t="s">
        <v>12</v>
      </c>
      <c r="D26" s="8">
        <f>D22*5%</f>
        <v>142091.97616607498</v>
      </c>
    </row>
    <row r="27" spans="1:5" ht="16.5" customHeight="1" x14ac:dyDescent="0.25">
      <c r="A27" s="6"/>
      <c r="B27" s="6"/>
      <c r="C27" s="6"/>
      <c r="D27" s="6"/>
    </row>
    <row r="28" spans="1:5" ht="16.5" customHeight="1" x14ac:dyDescent="0.25">
      <c r="A28" s="6"/>
      <c r="B28" s="6">
        <v>22</v>
      </c>
      <c r="C28" s="6" t="s">
        <v>10</v>
      </c>
      <c r="D28" s="8">
        <f>D13+D26</f>
        <v>293626.31411607494</v>
      </c>
    </row>
    <row r="29" spans="1:5" ht="16.5" customHeight="1" x14ac:dyDescent="0.25">
      <c r="A29" s="6"/>
      <c r="B29" s="6">
        <v>23</v>
      </c>
      <c r="C29" s="6" t="s">
        <v>11</v>
      </c>
      <c r="D29" s="8">
        <f>D28*23%</f>
        <v>67534.052246697232</v>
      </c>
    </row>
    <row r="30" spans="1:5" ht="16.5" customHeight="1" x14ac:dyDescent="0.25">
      <c r="A30" s="6"/>
      <c r="B30" s="6">
        <v>24</v>
      </c>
      <c r="C30" s="15" t="s">
        <v>22</v>
      </c>
      <c r="D30" s="16">
        <f>SUM(D28:D29)</f>
        <v>361160.36636277218</v>
      </c>
    </row>
    <row r="31" spans="1:5" ht="16.5" customHeight="1" x14ac:dyDescent="0.25"/>
    <row r="32" spans="1:5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</sheetData>
  <mergeCells count="1">
    <mergeCell ref="C23:C24"/>
  </mergeCells>
  <hyperlinks>
    <hyperlink ref="C2" location="Inserção_Valores!Área_de_Impressão" display="Inserção_Valores!Área_de_Impressão" xr:uid="{00000000-0004-0000-0100-000000000000}"/>
  </hyperlinks>
  <pageMargins left="1.299212598425197" right="0.51181102362204722" top="1.7322834645669292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B2:E51"/>
  <sheetViews>
    <sheetView showGridLines="0" showRowColHeaders="0" workbookViewId="0">
      <selection activeCell="O24" sqref="O24"/>
    </sheetView>
  </sheetViews>
  <sheetFormatPr defaultRowHeight="15" x14ac:dyDescent="0.25"/>
  <cols>
    <col min="2" max="2" width="10.140625" bestFit="1" customWidth="1"/>
    <col min="3" max="3" width="49.5703125" customWidth="1"/>
    <col min="4" max="4" width="16.140625" customWidth="1"/>
    <col min="5" max="5" width="21.42578125" style="66" bestFit="1" customWidth="1"/>
  </cols>
  <sheetData>
    <row r="2" spans="2:5" ht="16.5" customHeight="1" x14ac:dyDescent="0.25">
      <c r="B2" s="3" t="s">
        <v>16</v>
      </c>
      <c r="C2" s="81" t="str">
        <f>Inserção_Valores!C2</f>
        <v>xxxx/xx.xT8STS</v>
      </c>
      <c r="D2" s="81"/>
    </row>
    <row r="3" spans="2:5" ht="16.5" customHeight="1" x14ac:dyDescent="0.25"/>
    <row r="4" spans="2:5" ht="16.5" customHeight="1" x14ac:dyDescent="0.25"/>
    <row r="5" spans="2:5" ht="16.5" customHeight="1" x14ac:dyDescent="0.25">
      <c r="C5" s="2"/>
    </row>
    <row r="6" spans="2:5" ht="16.5" customHeight="1" x14ac:dyDescent="0.25">
      <c r="B6" s="84"/>
      <c r="C6" s="83" t="s">
        <v>80</v>
      </c>
      <c r="D6" s="84"/>
      <c r="E6" s="37"/>
    </row>
    <row r="7" spans="2:5" ht="16.5" customHeight="1" x14ac:dyDescent="0.25">
      <c r="B7" s="84">
        <v>1</v>
      </c>
      <c r="C7" s="93" t="s">
        <v>0</v>
      </c>
      <c r="D7" s="85">
        <f>Inserção_Valores!D7</f>
        <v>3375207.51</v>
      </c>
      <c r="E7" s="37"/>
    </row>
    <row r="8" spans="2:5" ht="16.5" customHeight="1" x14ac:dyDescent="0.25">
      <c r="B8" s="84">
        <v>2</v>
      </c>
      <c r="C8" s="93" t="s">
        <v>23</v>
      </c>
      <c r="D8" s="85">
        <f>Inserção_Valores!D8</f>
        <v>337520.75099999999</v>
      </c>
      <c r="E8" s="37"/>
    </row>
    <row r="9" spans="2:5" ht="16.5" customHeight="1" x14ac:dyDescent="0.25">
      <c r="B9" s="84">
        <v>3</v>
      </c>
      <c r="C9" s="93" t="s">
        <v>15</v>
      </c>
      <c r="D9" s="85">
        <f>Inserção_Valores!D9</f>
        <v>7000</v>
      </c>
      <c r="E9" s="37"/>
    </row>
    <row r="10" spans="2:5" ht="16.5" customHeight="1" x14ac:dyDescent="0.25">
      <c r="B10" s="84">
        <v>4</v>
      </c>
      <c r="C10" s="93" t="s">
        <v>20</v>
      </c>
      <c r="D10" s="85">
        <f>Inserção_Valores!D10</f>
        <v>0</v>
      </c>
      <c r="E10" s="37"/>
    </row>
    <row r="11" spans="2:5" ht="16.5" customHeight="1" x14ac:dyDescent="0.25">
      <c r="B11" s="84">
        <v>5</v>
      </c>
      <c r="C11" s="94" t="s">
        <v>77</v>
      </c>
      <c r="D11" s="86">
        <f>D7-D8-D9+D10</f>
        <v>3030686.7589999996</v>
      </c>
      <c r="E11" s="71" t="s">
        <v>58</v>
      </c>
    </row>
    <row r="12" spans="2:5" ht="16.5" customHeight="1" x14ac:dyDescent="0.25">
      <c r="B12" s="84"/>
      <c r="C12" s="93"/>
      <c r="D12" s="86"/>
      <c r="E12" s="37"/>
    </row>
    <row r="13" spans="2:5" ht="16.5" customHeight="1" x14ac:dyDescent="0.25">
      <c r="B13" s="84">
        <v>6</v>
      </c>
      <c r="C13" s="94" t="s">
        <v>78</v>
      </c>
      <c r="D13" s="86">
        <f>D11*5%</f>
        <v>151534.33794999999</v>
      </c>
      <c r="E13" s="71" t="s">
        <v>59</v>
      </c>
    </row>
    <row r="14" spans="2:5" ht="16.5" customHeight="1" x14ac:dyDescent="0.25">
      <c r="B14" s="84">
        <v>7</v>
      </c>
      <c r="C14" s="94" t="s">
        <v>79</v>
      </c>
      <c r="D14" s="86">
        <f>IF(D13&lt;=100000,D13,100000)</f>
        <v>100000</v>
      </c>
      <c r="E14" s="71"/>
    </row>
    <row r="15" spans="2:5" ht="16.5" customHeight="1" x14ac:dyDescent="0.25">
      <c r="B15" s="84"/>
      <c r="C15" s="84"/>
      <c r="D15" s="86"/>
      <c r="E15" s="37"/>
    </row>
    <row r="16" spans="2:5" ht="16.5" customHeight="1" x14ac:dyDescent="0.25">
      <c r="B16" s="84"/>
      <c r="C16" s="83" t="s">
        <v>81</v>
      </c>
      <c r="D16" s="86"/>
      <c r="E16" s="37"/>
    </row>
    <row r="17" spans="2:5" ht="16.5" customHeight="1" x14ac:dyDescent="0.25">
      <c r="B17" s="84">
        <v>8</v>
      </c>
      <c r="C17" s="84" t="s">
        <v>4</v>
      </c>
      <c r="D17" s="86">
        <f>D7</f>
        <v>3375207.51</v>
      </c>
      <c r="E17" s="71" t="s">
        <v>60</v>
      </c>
    </row>
    <row r="18" spans="2:5" ht="16.5" customHeight="1" x14ac:dyDescent="0.25">
      <c r="B18" s="84">
        <v>9</v>
      </c>
      <c r="C18" s="84" t="s">
        <v>5</v>
      </c>
      <c r="D18" s="86">
        <f>D8</f>
        <v>337520.75099999999</v>
      </c>
      <c r="E18" s="71" t="s">
        <v>61</v>
      </c>
    </row>
    <row r="19" spans="2:5" ht="16.5" customHeight="1" x14ac:dyDescent="0.25">
      <c r="B19" s="84">
        <v>10</v>
      </c>
      <c r="C19" s="84" t="s">
        <v>6</v>
      </c>
      <c r="D19" s="87">
        <f>IF(D10=2460,0,IF(D10=1230,1230,IF(D10=0,2460)))</f>
        <v>2460</v>
      </c>
      <c r="E19" s="37"/>
    </row>
    <row r="20" spans="2:5" ht="16.5" customHeight="1" x14ac:dyDescent="0.25">
      <c r="B20" s="84">
        <v>11</v>
      </c>
      <c r="C20" s="84" t="s">
        <v>7</v>
      </c>
      <c r="D20" s="86">
        <f>D9</f>
        <v>7000</v>
      </c>
      <c r="E20" s="71" t="s">
        <v>62</v>
      </c>
    </row>
    <row r="21" spans="2:5" ht="16.5" customHeight="1" x14ac:dyDescent="0.25">
      <c r="B21" s="84">
        <v>12</v>
      </c>
      <c r="C21" s="84" t="s">
        <v>78</v>
      </c>
      <c r="D21" s="87">
        <f>D14</f>
        <v>100000</v>
      </c>
      <c r="E21" s="71" t="s">
        <v>82</v>
      </c>
    </row>
    <row r="22" spans="2:5" ht="16.5" customHeight="1" x14ac:dyDescent="0.25">
      <c r="B22" s="84">
        <v>13</v>
      </c>
      <c r="C22" s="84" t="s">
        <v>85</v>
      </c>
      <c r="D22" s="87">
        <f>D21*0.23</f>
        <v>23000</v>
      </c>
      <c r="E22" s="71" t="s">
        <v>83</v>
      </c>
    </row>
    <row r="23" spans="2:5" ht="16.5" customHeight="1" x14ac:dyDescent="0.25">
      <c r="B23" s="84">
        <v>14</v>
      </c>
      <c r="C23" s="84" t="s">
        <v>18</v>
      </c>
      <c r="D23" s="86">
        <f>D17-D18-D19-D20-D21-D22</f>
        <v>2905226.7589999996</v>
      </c>
      <c r="E23" s="71" t="s">
        <v>84</v>
      </c>
    </row>
    <row r="24" spans="2:5" ht="16.5" customHeight="1" x14ac:dyDescent="0.25">
      <c r="B24" s="84"/>
      <c r="C24" s="95" t="s">
        <v>17</v>
      </c>
      <c r="D24" s="86"/>
      <c r="E24" s="37"/>
    </row>
    <row r="25" spans="2:5" ht="16.5" customHeight="1" x14ac:dyDescent="0.25">
      <c r="B25" s="84"/>
      <c r="C25" s="95"/>
      <c r="D25" s="84"/>
      <c r="E25" s="37"/>
    </row>
    <row r="26" spans="2:5" ht="16.5" customHeight="1" x14ac:dyDescent="0.25">
      <c r="B26" s="84"/>
      <c r="C26" s="88"/>
      <c r="D26" s="84"/>
      <c r="E26" s="37"/>
    </row>
    <row r="27" spans="2:5" ht="16.5" customHeight="1" x14ac:dyDescent="0.25">
      <c r="B27" s="84">
        <v>15</v>
      </c>
      <c r="C27" s="4" t="s">
        <v>13</v>
      </c>
      <c r="D27" s="89">
        <f>Inserção_Valores!D12</f>
        <v>56543068.039999999</v>
      </c>
      <c r="E27" s="37"/>
    </row>
    <row r="28" spans="2:5" ht="16.5" customHeight="1" x14ac:dyDescent="0.25">
      <c r="B28" s="84">
        <v>16</v>
      </c>
      <c r="C28" s="4" t="s">
        <v>14</v>
      </c>
      <c r="D28" s="90">
        <f>IF(D23/D27&lt;1,D23/D27,1)</f>
        <v>5.1380776807950508E-2</v>
      </c>
      <c r="E28" s="71" t="s">
        <v>86</v>
      </c>
    </row>
    <row r="29" spans="2:5" ht="16.5" customHeight="1" x14ac:dyDescent="0.25">
      <c r="B29" s="84"/>
      <c r="C29" s="88"/>
      <c r="D29" s="84"/>
      <c r="E29" s="37"/>
    </row>
    <row r="30" spans="2:5" ht="16.5" customHeight="1" x14ac:dyDescent="0.25">
      <c r="B30" s="84">
        <v>17</v>
      </c>
      <c r="C30" s="84" t="s">
        <v>12</v>
      </c>
      <c r="D30" s="86">
        <f>D23*D28*5%</f>
        <v>7463.6403840332205</v>
      </c>
      <c r="E30" s="71" t="s">
        <v>87</v>
      </c>
    </row>
    <row r="31" spans="2:5" ht="16.5" customHeight="1" x14ac:dyDescent="0.25">
      <c r="B31" s="84"/>
      <c r="C31" s="84"/>
      <c r="D31" s="86"/>
      <c r="E31" s="37"/>
    </row>
    <row r="32" spans="2:5" ht="16.5" customHeight="1" x14ac:dyDescent="0.25">
      <c r="B32" s="84">
        <v>18</v>
      </c>
      <c r="C32" s="84" t="s">
        <v>10</v>
      </c>
      <c r="D32" s="86">
        <f>D14+D30</f>
        <v>107463.64038403322</v>
      </c>
      <c r="E32" s="71" t="s">
        <v>88</v>
      </c>
    </row>
    <row r="33" spans="2:5" ht="16.5" customHeight="1" x14ac:dyDescent="0.25">
      <c r="B33" s="84">
        <v>19</v>
      </c>
      <c r="C33" s="84" t="s">
        <v>11</v>
      </c>
      <c r="D33" s="86">
        <f>D32*23%</f>
        <v>24716.637288327642</v>
      </c>
      <c r="E33" s="71" t="s">
        <v>89</v>
      </c>
    </row>
    <row r="34" spans="2:5" ht="16.5" customHeight="1" x14ac:dyDescent="0.25">
      <c r="B34" s="84">
        <v>20</v>
      </c>
      <c r="C34" s="91" t="s">
        <v>22</v>
      </c>
      <c r="D34" s="92">
        <f>SUM(D32:D33)</f>
        <v>132180.27767236085</v>
      </c>
      <c r="E34" s="71" t="s">
        <v>90</v>
      </c>
    </row>
    <row r="35" spans="2:5" ht="16.5" customHeight="1" x14ac:dyDescent="0.25"/>
    <row r="36" spans="2:5" ht="16.5" customHeight="1" x14ac:dyDescent="0.25"/>
    <row r="37" spans="2:5" ht="16.5" customHeight="1" x14ac:dyDescent="0.25">
      <c r="E37" s="77" t="str">
        <f>CONCATENATE("MBarreleiro - V.",Inserção_Valores!$J$13)</f>
        <v>MBarreleiro - V.2.3</v>
      </c>
    </row>
    <row r="38" spans="2:5" ht="16.5" customHeight="1" x14ac:dyDescent="0.25"/>
    <row r="39" spans="2:5" ht="16.5" customHeight="1" x14ac:dyDescent="0.25"/>
    <row r="40" spans="2:5" ht="16.5" customHeight="1" x14ac:dyDescent="0.25"/>
    <row r="41" spans="2:5" ht="16.5" customHeight="1" x14ac:dyDescent="0.25"/>
    <row r="42" spans="2:5" ht="16.5" customHeight="1" x14ac:dyDescent="0.25"/>
    <row r="43" spans="2:5" ht="16.5" customHeight="1" x14ac:dyDescent="0.25"/>
    <row r="44" spans="2:5" ht="16.5" customHeight="1" x14ac:dyDescent="0.25"/>
    <row r="45" spans="2:5" ht="16.5" customHeight="1" x14ac:dyDescent="0.25"/>
    <row r="46" spans="2:5" ht="16.5" customHeight="1" x14ac:dyDescent="0.25"/>
    <row r="47" spans="2:5" ht="16.5" customHeight="1" x14ac:dyDescent="0.25"/>
    <row r="48" spans="2:5" ht="16.5" customHeight="1" x14ac:dyDescent="0.25"/>
    <row r="49" ht="16.5" customHeight="1" x14ac:dyDescent="0.25"/>
    <row r="50" ht="16.5" customHeight="1" x14ac:dyDescent="0.25"/>
    <row r="51" ht="16.5" customHeight="1" x14ac:dyDescent="0.25"/>
  </sheetData>
  <sheetProtection algorithmName="SHA-512" hashValue="OODnmXX1CcNeYgbsO12pEWZIAhS0IZC98vytg9yfrstj4MMER1Gyuxa8IymsTHqow/MKYp+h1XWRHx+w9RE5qw==" saltValue="VcRAUr/gBZ3gHiMzv3Pi/A==" spinCount="100000" sheet="1" objects="1" scenarios="1"/>
  <mergeCells count="2">
    <mergeCell ref="C24:C25"/>
    <mergeCell ref="C2:D2"/>
  </mergeCells>
  <hyperlinks>
    <hyperlink ref="C2" location="Inserção_Valores!Área_de_Impressão" display="Inserção_Valores!Área_de_Impressão" xr:uid="{00000000-0004-0000-0200-000000000000}"/>
  </hyperlinks>
  <pageMargins left="1.1023622047244095" right="0.51181102362204722" top="1.7322834645669292" bottom="0.74803149606299213" header="0.31496062992125984" footer="0.31496062992125984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B2:E52"/>
  <sheetViews>
    <sheetView showGridLines="0" showRowColHeaders="0" workbookViewId="0"/>
  </sheetViews>
  <sheetFormatPr defaultRowHeight="15" x14ac:dyDescent="0.25"/>
  <cols>
    <col min="2" max="2" width="10.140625" bestFit="1" customWidth="1"/>
    <col min="3" max="3" width="60.5703125" bestFit="1" customWidth="1"/>
    <col min="4" max="4" width="14.7109375" customWidth="1"/>
    <col min="5" max="5" width="11.7109375" style="66" customWidth="1"/>
  </cols>
  <sheetData>
    <row r="2" spans="2:5" ht="16.5" customHeight="1" x14ac:dyDescent="0.25">
      <c r="B2" s="3" t="s">
        <v>16</v>
      </c>
      <c r="C2" s="81" t="str">
        <f>Inserção_Valores!C2</f>
        <v>xxxx/xx.xT8STS</v>
      </c>
      <c r="D2" s="81"/>
    </row>
    <row r="3" spans="2:5" ht="16.5" customHeight="1" x14ac:dyDescent="0.25"/>
    <row r="4" spans="2:5" ht="16.5" customHeight="1" x14ac:dyDescent="0.25"/>
    <row r="5" spans="2:5" ht="16.5" customHeight="1" x14ac:dyDescent="0.25">
      <c r="C5" s="2"/>
    </row>
    <row r="6" spans="2:5" ht="16.5" customHeight="1" x14ac:dyDescent="0.25">
      <c r="B6" s="6"/>
      <c r="C6" s="13" t="s">
        <v>37</v>
      </c>
      <c r="D6" s="6"/>
      <c r="E6" s="37"/>
    </row>
    <row r="7" spans="2:5" ht="16.5" customHeight="1" x14ac:dyDescent="0.25">
      <c r="B7" s="56">
        <v>1</v>
      </c>
      <c r="C7" s="56" t="s">
        <v>13</v>
      </c>
      <c r="D7" s="57">
        <f>Inserção_Valores!I7</f>
        <v>4168889.28</v>
      </c>
      <c r="E7" s="37"/>
    </row>
    <row r="8" spans="2:5" ht="16.5" customHeight="1" x14ac:dyDescent="0.25">
      <c r="B8" s="56">
        <v>2</v>
      </c>
      <c r="C8" s="56" t="s">
        <v>28</v>
      </c>
      <c r="D8" s="57">
        <f>Inserção_Valores!I8</f>
        <v>0</v>
      </c>
      <c r="E8" s="37"/>
    </row>
    <row r="9" spans="2:5" ht="16.5" customHeight="1" x14ac:dyDescent="0.25">
      <c r="B9" s="56">
        <v>3</v>
      </c>
      <c r="C9" s="56" t="s">
        <v>29</v>
      </c>
      <c r="D9" s="57">
        <f>Inserção_Valores!I9</f>
        <v>3255566.4</v>
      </c>
      <c r="E9" s="37"/>
    </row>
    <row r="10" spans="2:5" ht="16.5" customHeight="1" x14ac:dyDescent="0.25">
      <c r="B10" s="56">
        <v>4</v>
      </c>
      <c r="C10" s="56" t="s">
        <v>63</v>
      </c>
      <c r="D10" s="60">
        <f>D7-D8-D9</f>
        <v>913322.87999999989</v>
      </c>
      <c r="E10" s="71" t="s">
        <v>38</v>
      </c>
    </row>
    <row r="11" spans="2:5" ht="16.5" customHeight="1" x14ac:dyDescent="0.25">
      <c r="B11" s="56"/>
      <c r="C11" s="56"/>
      <c r="D11" s="58"/>
      <c r="E11" s="37"/>
    </row>
    <row r="12" spans="2:5" ht="16.5" customHeight="1" x14ac:dyDescent="0.25">
      <c r="B12" s="56">
        <v>5</v>
      </c>
      <c r="C12" s="56" t="s">
        <v>65</v>
      </c>
      <c r="D12" s="58">
        <f>D10*10%</f>
        <v>91332.288</v>
      </c>
      <c r="E12" s="71" t="s">
        <v>39</v>
      </c>
    </row>
    <row r="13" spans="2:5" ht="16.5" customHeight="1" x14ac:dyDescent="0.25">
      <c r="B13" s="56">
        <v>6</v>
      </c>
      <c r="C13" s="56" t="s">
        <v>46</v>
      </c>
      <c r="D13" s="58">
        <f>D12*0.23</f>
        <v>21006.426240000001</v>
      </c>
      <c r="E13" s="71" t="s">
        <v>40</v>
      </c>
    </row>
    <row r="14" spans="2:5" ht="16.5" customHeight="1" x14ac:dyDescent="0.25">
      <c r="B14" s="56">
        <v>7</v>
      </c>
      <c r="C14" s="13" t="s">
        <v>31</v>
      </c>
      <c r="D14" s="61">
        <f>D12+D13</f>
        <v>112338.71424</v>
      </c>
      <c r="E14" s="71" t="s">
        <v>47</v>
      </c>
    </row>
    <row r="15" spans="2:5" ht="16.5" customHeight="1" x14ac:dyDescent="0.25">
      <c r="B15" s="56"/>
      <c r="C15" s="56"/>
      <c r="D15" s="58"/>
      <c r="E15" s="37"/>
    </row>
    <row r="16" spans="2:5" ht="16.5" customHeight="1" x14ac:dyDescent="0.25">
      <c r="B16" s="56"/>
      <c r="C16" s="13" t="s">
        <v>44</v>
      </c>
      <c r="D16" s="58"/>
      <c r="E16" s="37"/>
    </row>
    <row r="17" spans="2:5" ht="16.5" customHeight="1" x14ac:dyDescent="0.25">
      <c r="B17" s="56"/>
      <c r="C17" s="13" t="s">
        <v>45</v>
      </c>
      <c r="D17" s="67" t="str">
        <f>IF(Inserção_Valores!J12=FALSE,"Não se aplica","")</f>
        <v/>
      </c>
      <c r="E17" s="37"/>
    </row>
    <row r="18" spans="2:5" ht="16.5" customHeight="1" x14ac:dyDescent="0.25">
      <c r="B18" s="56">
        <v>8</v>
      </c>
      <c r="C18" s="56" t="s">
        <v>30</v>
      </c>
      <c r="D18" s="58">
        <f>IF(Inserção_Valores!J12=FALSE,0,D9-D12-D13)</f>
        <v>3143227.6857599998</v>
      </c>
      <c r="E18" s="71" t="s">
        <v>41</v>
      </c>
    </row>
    <row r="19" spans="2:5" ht="16.5" customHeight="1" x14ac:dyDescent="0.25">
      <c r="B19" s="56">
        <v>9</v>
      </c>
      <c r="C19" s="56" t="s">
        <v>64</v>
      </c>
      <c r="D19" s="59">
        <f>IF(D18/D7&lt;1,D18/D7,1)</f>
        <v>0.75397245516676326</v>
      </c>
      <c r="E19" s="71" t="s">
        <v>42</v>
      </c>
    </row>
    <row r="20" spans="2:5" ht="16.5" customHeight="1" x14ac:dyDescent="0.25">
      <c r="B20" s="56">
        <v>10</v>
      </c>
      <c r="C20" s="76" t="s">
        <v>72</v>
      </c>
      <c r="D20" s="60">
        <f>(D18*D19)*5%</f>
        <v>118495.35476903053</v>
      </c>
      <c r="E20" s="71" t="s">
        <v>48</v>
      </c>
    </row>
    <row r="21" spans="2:5" ht="16.5" customHeight="1" x14ac:dyDescent="0.25">
      <c r="B21" s="56">
        <v>11</v>
      </c>
      <c r="C21" s="56" t="s">
        <v>35</v>
      </c>
      <c r="D21" s="60">
        <f>D12+D20</f>
        <v>209827.64276903053</v>
      </c>
      <c r="E21" s="71" t="s">
        <v>43</v>
      </c>
    </row>
    <row r="22" spans="2:5" ht="16.5" customHeight="1" x14ac:dyDescent="0.25">
      <c r="B22" s="56">
        <v>12</v>
      </c>
      <c r="C22" s="56" t="s">
        <v>36</v>
      </c>
      <c r="D22" s="60">
        <f>D21*0.23</f>
        <v>48260.357836877025</v>
      </c>
      <c r="E22" s="71" t="s">
        <v>49</v>
      </c>
    </row>
    <row r="23" spans="2:5" ht="16.5" customHeight="1" x14ac:dyDescent="0.25">
      <c r="B23" s="56">
        <v>13</v>
      </c>
      <c r="C23" s="13" t="s">
        <v>31</v>
      </c>
      <c r="D23" s="61">
        <f>D21+D22</f>
        <v>258088.00060590755</v>
      </c>
      <c r="E23" s="71" t="s">
        <v>50</v>
      </c>
    </row>
    <row r="24" spans="2:5" ht="16.5" customHeight="1" x14ac:dyDescent="0.25">
      <c r="B24" s="56"/>
      <c r="C24" s="51"/>
      <c r="D24" s="62"/>
      <c r="E24" s="37"/>
    </row>
    <row r="25" spans="2:5" ht="16.5" customHeight="1" x14ac:dyDescent="0.25">
      <c r="B25" s="56">
        <v>14</v>
      </c>
      <c r="C25" s="47" t="s">
        <v>33</v>
      </c>
      <c r="D25" s="48">
        <f>D21/2</f>
        <v>104913.82138451526</v>
      </c>
      <c r="E25" s="71" t="s">
        <v>51</v>
      </c>
    </row>
    <row r="26" spans="2:5" ht="16.5" customHeight="1" x14ac:dyDescent="0.25">
      <c r="B26" s="56">
        <v>15</v>
      </c>
      <c r="C26" s="49" t="s">
        <v>32</v>
      </c>
      <c r="D26" s="50">
        <f>D25*0.23</f>
        <v>24130.178918438512</v>
      </c>
      <c r="E26" s="71" t="s">
        <v>76</v>
      </c>
    </row>
    <row r="27" spans="2:5" ht="16.5" customHeight="1" x14ac:dyDescent="0.25">
      <c r="B27" s="56">
        <v>16</v>
      </c>
      <c r="C27" s="52" t="s">
        <v>66</v>
      </c>
      <c r="D27" s="53">
        <f>SUM(D25:D26)</f>
        <v>129044.00030295378</v>
      </c>
      <c r="E27" s="71" t="s">
        <v>52</v>
      </c>
    </row>
    <row r="28" spans="2:5" ht="16.5" customHeight="1" x14ac:dyDescent="0.25">
      <c r="B28" s="56"/>
      <c r="C28" s="54"/>
      <c r="D28" s="55"/>
      <c r="E28" s="37"/>
    </row>
    <row r="29" spans="2:5" ht="16.5" customHeight="1" x14ac:dyDescent="0.25">
      <c r="B29" s="56">
        <v>17</v>
      </c>
      <c r="C29" s="47" t="s">
        <v>34</v>
      </c>
      <c r="D29" s="58">
        <f>D21/2</f>
        <v>104913.82138451526</v>
      </c>
      <c r="E29" s="71" t="s">
        <v>51</v>
      </c>
    </row>
    <row r="30" spans="2:5" ht="16.5" customHeight="1" x14ac:dyDescent="0.25">
      <c r="B30" s="56">
        <v>18</v>
      </c>
      <c r="C30" s="49" t="s">
        <v>32</v>
      </c>
      <c r="D30" s="58">
        <f>D29*0.23</f>
        <v>24130.178918438512</v>
      </c>
      <c r="E30" s="71" t="s">
        <v>53</v>
      </c>
    </row>
    <row r="31" spans="2:5" ht="16.5" customHeight="1" x14ac:dyDescent="0.25">
      <c r="B31" s="56">
        <v>19</v>
      </c>
      <c r="C31" s="52" t="s">
        <v>67</v>
      </c>
      <c r="D31" s="63">
        <f>SUM(D29:D30)</f>
        <v>129044.00030295378</v>
      </c>
      <c r="E31" s="71" t="s">
        <v>54</v>
      </c>
    </row>
    <row r="32" spans="2:5" ht="16.5" customHeight="1" x14ac:dyDescent="0.25">
      <c r="B32" s="56"/>
      <c r="C32" s="56"/>
      <c r="D32" s="58"/>
      <c r="E32" s="37"/>
    </row>
    <row r="33" spans="2:5" ht="16.5" customHeight="1" x14ac:dyDescent="0.25">
      <c r="B33" s="56"/>
      <c r="C33" s="65" t="s">
        <v>71</v>
      </c>
      <c r="D33" s="62"/>
      <c r="E33" s="72"/>
    </row>
    <row r="34" spans="2:5" ht="16.5" customHeight="1" x14ac:dyDescent="0.25">
      <c r="B34" s="56">
        <v>20</v>
      </c>
      <c r="C34" s="75" t="s">
        <v>69</v>
      </c>
      <c r="D34" s="64">
        <f>D29/5</f>
        <v>20982.764276903054</v>
      </c>
      <c r="E34" s="71" t="s">
        <v>55</v>
      </c>
    </row>
    <row r="35" spans="2:5" ht="16.5" customHeight="1" x14ac:dyDescent="0.25">
      <c r="B35" s="56">
        <v>21</v>
      </c>
      <c r="C35" s="75" t="s">
        <v>70</v>
      </c>
      <c r="D35" s="64">
        <f>D34*0.23</f>
        <v>4826.0357836877029</v>
      </c>
      <c r="E35" s="71" t="s">
        <v>56</v>
      </c>
    </row>
    <row r="36" spans="2:5" ht="16.5" customHeight="1" x14ac:dyDescent="0.25">
      <c r="B36" s="56">
        <v>22</v>
      </c>
      <c r="C36" s="65" t="s">
        <v>68</v>
      </c>
      <c r="D36" s="63">
        <f>SUM(D34:D35)</f>
        <v>25808.800060590758</v>
      </c>
      <c r="E36" s="71" t="s">
        <v>57</v>
      </c>
    </row>
    <row r="37" spans="2:5" ht="16.5" customHeight="1" x14ac:dyDescent="0.25"/>
    <row r="38" spans="2:5" ht="16.5" customHeight="1" x14ac:dyDescent="0.25"/>
    <row r="39" spans="2:5" ht="16.5" customHeight="1" x14ac:dyDescent="0.25">
      <c r="E39" s="77" t="str">
        <f>CONCATENATE("MBarreleiro - V.",Inserção_Valores!$J$13)</f>
        <v>MBarreleiro - V.2.3</v>
      </c>
    </row>
    <row r="40" spans="2:5" ht="16.5" customHeight="1" x14ac:dyDescent="0.25"/>
    <row r="41" spans="2:5" ht="16.5" customHeight="1" x14ac:dyDescent="0.25"/>
    <row r="42" spans="2:5" ht="16.5" customHeight="1" x14ac:dyDescent="0.25"/>
    <row r="43" spans="2:5" ht="16.5" customHeight="1" x14ac:dyDescent="0.25"/>
    <row r="44" spans="2:5" ht="16.5" customHeight="1" x14ac:dyDescent="0.25"/>
    <row r="45" spans="2:5" ht="16.5" customHeight="1" x14ac:dyDescent="0.25"/>
    <row r="46" spans="2:5" ht="16.5" customHeight="1" x14ac:dyDescent="0.25"/>
    <row r="47" spans="2:5" ht="16.5" customHeight="1" x14ac:dyDescent="0.25"/>
    <row r="48" spans="2:5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</sheetData>
  <sheetProtection algorithmName="SHA-512" hashValue="fm0BiLmPdl9rYlqHk6G6pS1cw433GAo5g5NE/V6z/dNsDRex7HVxqKfu7gcIYZ4YeNaFGK8Q7qw89BiojLQemw==" saltValue="GTZDwXmsM7KJGJGFW92DhQ==" spinCount="100000" sheet="1" objects="1" scenarios="1"/>
  <mergeCells count="1">
    <mergeCell ref="C2:D2"/>
  </mergeCells>
  <hyperlinks>
    <hyperlink ref="C2" location="Inserção_Valores!Área_de_Impressão" display="Inserção_Valores!Área_de_Impressão" xr:uid="{00000000-0004-0000-0300-000000000000}"/>
  </hyperlinks>
  <pageMargins left="1.1023622047244095" right="0.51181102362204722" top="1.7322834645669292" bottom="0.74803149606299213" header="0.31496062992125984" footer="0.31496062992125984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15</xdr:row>
                    <xdr:rowOff>123825</xdr:rowOff>
                  </from>
                  <to>
                    <xdr:col>6</xdr:col>
                    <xdr:colOff>409575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Inserção_Valores</vt:lpstr>
      <vt:lpstr>RV Sem grau satisfação</vt:lpstr>
      <vt:lpstr>RV Com grau satisfação</vt:lpstr>
      <vt:lpstr>RV nos PER</vt:lpstr>
      <vt:lpstr>Inserção_Valores!Área_de_Impressão</vt:lpstr>
      <vt:lpstr>'RV Com grau satisfação'!Área_de_Impressão</vt:lpstr>
      <vt:lpstr>'RV nos PER'!Área_de_Impressão</vt:lpstr>
      <vt:lpstr>'RV Sem grau satisfação'!Área_de_Impressão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manuel.a.barreleiro@tribunais.org.pt</dc:creator>
  <cp:lastModifiedBy>Manuel Barreleiro</cp:lastModifiedBy>
  <cp:lastPrinted>2024-03-05T15:03:30Z</cp:lastPrinted>
  <dcterms:created xsi:type="dcterms:W3CDTF">2023-01-12T17:09:10Z</dcterms:created>
  <dcterms:modified xsi:type="dcterms:W3CDTF">2024-03-05T15:14:58Z</dcterms:modified>
</cp:coreProperties>
</file>